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NEFZ" sheetId="1" r:id="rId1"/>
  </sheets>
  <definedNames>
    <definedName name="SHEET_TITLE" localSheetId="0">"NEFZ"</definedName>
  </definedNames>
  <calcPr fullCalcOnLoad="1"/>
</workbook>
</file>

<file path=xl/sharedStrings.xml><?xml version="1.0" encoding="utf-8"?>
<sst xmlns="http://schemas.openxmlformats.org/spreadsheetml/2006/main" count="46" uniqueCount="46">
  <si>
    <t>Vergleich verschiedener Antriebsarten</t>
  </si>
  <si>
    <t>Fahrsituation: NEFZ-Fahrzyklus</t>
  </si>
  <si>
    <t>Werte zum Einsetzen:</t>
  </si>
  <si>
    <t>Tesla Model S</t>
  </si>
  <si>
    <t>Audi A4 2.0 TDI</t>
  </si>
  <si>
    <t>Aptera</t>
  </si>
  <si>
    <t>Loremo</t>
  </si>
  <si>
    <t>Tesla Roadster</t>
  </si>
  <si>
    <t>Acabion</t>
  </si>
  <si>
    <t>Fahrzeuggewicht in kg</t>
  </si>
  <si>
    <t>Luftwiderstandsbeiwert cw</t>
  </si>
  <si>
    <t>Stirnfläche in m²</t>
  </si>
  <si>
    <t>Rollwiderstandsbeiwert cr</t>
  </si>
  <si>
    <t>bezwungene Höhendifferenzen (addiert) in m</t>
  </si>
  <si>
    <t>Wirkungsgrad Antrieb reiner Verbrennungsmotor (gemittelt)</t>
  </si>
  <si>
    <t>Wirkungsgrad Akku (Ladung)</t>
  </si>
  <si>
    <t>Wirkungsgrad Akku (Entladung)</t>
  </si>
  <si>
    <t>Wirkungsgrad E-Motor (Antrieb)</t>
  </si>
  <si>
    <t>Wirkungsgrad E-Motor als Generator (Rekuperation)</t>
  </si>
  <si>
    <t>Wirkungsgrad Verbrennungsmotor inkl. Generator (Series Hybrid)</t>
  </si>
  <si>
    <t>CO2-Ausstoß im deutschen Strommix in g/kWh</t>
  </si>
  <si>
    <t xml:space="preserve"> </t>
  </si>
  <si>
    <t>Zeit (s)</t>
  </si>
  <si>
    <t>Geschwindigkeit (km/h)</t>
  </si>
  <si>
    <t>Weg (m)</t>
  </si>
  <si>
    <t>benötigte Energie Beschleunigung+Höhendifferenzen (kWh)</t>
  </si>
  <si>
    <t>Mögliche Energierückgewinnung (kWh)</t>
  </si>
  <si>
    <t>benötigte Energie
Luft+Rollwiderstand (kWh)</t>
  </si>
  <si>
    <t>EUDC-Teilzyklus (Landstraße)</t>
  </si>
  <si>
    <t>Gesamt EUDC</t>
  </si>
  <si>
    <t>ECE-15-Teilzyklus (Stadtverkehr):</t>
  </si>
  <si>
    <t>Gesamt ECE-15*4</t>
  </si>
  <si>
    <t>NEFZ = ECE-15*4+EUDC hochgerechnet auf 100 km</t>
  </si>
  <si>
    <t>Höhendifferenzen</t>
  </si>
  <si>
    <t>Brutto-Verbrauch</t>
  </si>
  <si>
    <t>umgerechnet in l Sprit</t>
  </si>
  <si>
    <t>CO2-Ausstoß</t>
  </si>
  <si>
    <t>Energiebedarf an Radachse ohne Rekuperation</t>
  </si>
  <si>
    <t>Reiner Verbrennungsmotor</t>
  </si>
  <si>
    <t>E-Antrieb ohne Rekuperation ab Steckdose</t>
  </si>
  <si>
    <t>Nur mit Elektroantrieb</t>
  </si>
  <si>
    <t>E-Antrieb mit Rekuperation ab Steckdose</t>
  </si>
  <si>
    <t>Verbrennungsmotor als Generator für E-Antrieb m. Rekup.</t>
  </si>
  <si>
    <t>Range-Extender</t>
  </si>
  <si>
    <t>Idealer E-Antrieb ab Steckdose</t>
  </si>
  <si>
    <t>Zugrundegelegte Formeln: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</si>
</sst>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\ [$kWh/100 km]"/>
    <numFmt numFmtId="51" formatCode="0.000"/>
    <numFmt numFmtId="52" formatCode="0.0\ [$l/100 km]"/>
    <numFmt numFmtId="53" formatCode="0\ [$g/km]"/>
  </numFmts>
  <fonts count="7">
    <font>
      <sz val="10"/>
      <name val="Arial"/>
      <family val="0"/>
    </font>
    <font>
      <sz val="8"/>
      <color indexed="8"/>
      <name val="Arial"/>
      <family val="0"/>
    </font>
    <font>
      <sz val="7.3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8"/>
      <name val="Sans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 wrapText="1"/>
      <protection/>
    </xf>
    <xf numFmtId="53" fontId="0" fillId="0" borderId="0" xfId="0" applyNumberFormat="1" applyFont="1" applyFill="1" applyBorder="1" applyAlignment="1" applyProtection="1">
      <alignment wrapText="1"/>
      <protection/>
    </xf>
    <xf numFmtId="0" fontId="0" fillId="3" borderId="0" xfId="0" applyNumberFormat="1" applyFont="1" applyFill="1" applyBorder="1" applyAlignment="1" applyProtection="1">
      <alignment/>
      <protection/>
    </xf>
    <xf numFmtId="5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4" fillId="5" borderId="0" xfId="0" applyNumberFormat="1" applyFont="1" applyFill="1" applyBorder="1" applyAlignment="1" applyProtection="1">
      <alignment horizontal="right"/>
      <protection/>
    </xf>
    <xf numFmtId="50" fontId="4" fillId="6" borderId="0" xfId="0" applyNumberFormat="1" applyFont="1" applyFill="1" applyBorder="1" applyAlignment="1" applyProtection="1">
      <alignment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0" fillId="7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5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7" borderId="0" xfId="0" applyNumberFormat="1" applyFont="1" applyFill="1" applyBorder="1" applyAlignment="1" applyProtection="1">
      <alignment horizontal="right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50" fontId="4" fillId="4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5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B3B3B3"/>
      <rgbColor rgb="00004586"/>
      <rgbColor rgb="00CCCCCC"/>
      <rgbColor rgb="00C7C7C7"/>
      <rgbColor rgb="00E6E6FF"/>
      <rgbColor rgb="00FF99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NEFZ!$A$20:$A$33</c:f>
              <c:numCache/>
            </c:numRef>
          </c:xVal>
          <c:yVal>
            <c:numRef>
              <c:f>NEFZ!$B$20:$B$33</c:f>
              <c:numCache/>
            </c:numRef>
          </c:yVal>
          <c:smooth val="0"/>
        </c:ser>
        <c:axId val="10840035"/>
        <c:axId val="30451452"/>
      </c:scatterChart>
      <c:valAx>
        <c:axId val="10840035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crossBetween val="midCat"/>
        <c:dispUnits/>
        <c:majorUnit val="100"/>
        <c:minorUnit val="100"/>
      </c:valAx>
      <c:valAx>
        <c:axId val="30451452"/>
        <c:scaling>
          <c:orientation val="minMax"/>
          <c:max val="12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NEFZ!$A$37:$A$52</c:f>
              <c:numCache/>
            </c:numRef>
          </c:xVal>
          <c:yVal>
            <c:numRef>
              <c:f>NEFZ!$B$37:$B$52</c:f>
              <c:numCache/>
            </c:numRef>
          </c:yVal>
          <c:smooth val="0"/>
        </c:ser>
        <c:axId val="5627613"/>
        <c:axId val="50648518"/>
      </c:scatterChart>
      <c:valAx>
        <c:axId val="5627613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crossBetween val="midCat"/>
        <c:dispUnits/>
        <c:majorUnit val="50"/>
        <c:minorUnit val="50"/>
      </c:valAx>
      <c:valAx>
        <c:axId val="50648518"/>
        <c:scaling>
          <c:orientation val="minMax"/>
          <c:max val="12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18</xdr:row>
      <xdr:rowOff>66675</xdr:rowOff>
    </xdr:from>
    <xdr:to>
      <xdr:col>10</xdr:col>
      <xdr:colOff>447675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2058650" y="3571875"/>
        <a:ext cx="3829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35</xdr:row>
      <xdr:rowOff>9525</xdr:rowOff>
    </xdr:from>
    <xdr:to>
      <xdr:col>10</xdr:col>
      <xdr:colOff>466725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049125" y="6267450"/>
        <a:ext cx="38576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" workbookViewId="0" topLeftCell="A32">
      <selection activeCell="E66" sqref="E66"/>
    </sheetView>
  </sheetViews>
  <sheetFormatPr defaultColWidth="11.421875" defaultRowHeight="12.75"/>
  <cols>
    <col min="1" max="1" width="54.7109375" style="1" customWidth="1"/>
    <col min="2" max="2" width="25.28125" style="1" customWidth="1"/>
    <col min="3" max="3" width="21.7109375" style="1" customWidth="1"/>
    <col min="4" max="4" width="25.57421875" style="26" customWidth="1"/>
    <col min="5" max="5" width="21.7109375" style="26" customWidth="1"/>
    <col min="6" max="6" width="26.421875" style="1" customWidth="1"/>
    <col min="7" max="7" width="18.140625" style="1" customWidth="1"/>
    <col min="8" max="8" width="14.8515625" style="1" customWidth="1"/>
    <col min="9" max="256" width="11.57421875" style="1" bestFit="1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6" ht="21.75" customHeight="1">
      <c r="A2" s="3" t="s">
        <v>1</v>
      </c>
      <c r="B2" s="3"/>
      <c r="C2" s="3"/>
      <c r="D2" s="3"/>
      <c r="E2" s="3"/>
      <c r="F2" s="3"/>
    </row>
    <row r="3" spans="2:8" ht="17.25" customHeight="1">
      <c r="B3" s="16" t="s">
        <v>2</v>
      </c>
      <c r="C3" s="16" t="s">
        <v>3</v>
      </c>
      <c r="D3" s="10" t="s">
        <v>4</v>
      </c>
      <c r="E3" s="10" t="s">
        <v>5</v>
      </c>
      <c r="F3" s="16" t="s">
        <v>6</v>
      </c>
      <c r="G3" s="16" t="s">
        <v>7</v>
      </c>
      <c r="H3" s="16" t="s">
        <v>8</v>
      </c>
    </row>
    <row r="4" spans="1:8" ht="12.75">
      <c r="A4" s="23" t="s">
        <v>9</v>
      </c>
      <c r="B4" s="23">
        <v>1070</v>
      </c>
      <c r="C4" s="26">
        <v>1600</v>
      </c>
      <c r="D4" s="26">
        <v>1600</v>
      </c>
      <c r="E4" s="26">
        <v>750</v>
      </c>
      <c r="F4" s="1">
        <v>550</v>
      </c>
      <c r="G4" s="1">
        <v>1300</v>
      </c>
      <c r="H4" s="24">
        <v>360</v>
      </c>
    </row>
    <row r="5" spans="1:8" ht="12.75">
      <c r="A5" s="23" t="s">
        <v>10</v>
      </c>
      <c r="B5" s="23">
        <v>0.3</v>
      </c>
      <c r="C5" s="26">
        <v>0.29</v>
      </c>
      <c r="D5" s="26">
        <v>0.29</v>
      </c>
      <c r="E5" s="26">
        <v>0.11</v>
      </c>
      <c r="F5" s="1">
        <v>0.2</v>
      </c>
      <c r="G5" s="1">
        <v>0.25</v>
      </c>
      <c r="H5" s="24">
        <v>0.11</v>
      </c>
    </row>
    <row r="6" spans="1:8" ht="12.75">
      <c r="A6" s="23" t="s">
        <v>11</v>
      </c>
      <c r="B6" s="23">
        <v>1</v>
      </c>
      <c r="C6" s="26">
        <v>2.2</v>
      </c>
      <c r="D6" s="26">
        <v>2.2</v>
      </c>
      <c r="E6" s="26">
        <v>1</v>
      </c>
      <c r="F6" s="1">
        <v>1</v>
      </c>
      <c r="G6" s="1">
        <v>1</v>
      </c>
      <c r="H6" s="24">
        <v>0.59</v>
      </c>
    </row>
    <row r="7" spans="1:8" ht="12.75">
      <c r="A7" s="23" t="s">
        <v>12</v>
      </c>
      <c r="B7" s="2">
        <v>0.013</v>
      </c>
      <c r="C7" s="5">
        <v>0.01</v>
      </c>
      <c r="D7" s="5">
        <v>0.01</v>
      </c>
      <c r="E7" s="5">
        <v>0.01</v>
      </c>
      <c r="F7" s="18">
        <v>0.008</v>
      </c>
      <c r="G7" s="18">
        <v>0.01</v>
      </c>
      <c r="H7" s="18">
        <v>1.01</v>
      </c>
    </row>
    <row r="8" spans="1:6" ht="12.75">
      <c r="A8" s="23" t="s">
        <v>13</v>
      </c>
      <c r="B8" s="23">
        <v>0</v>
      </c>
      <c r="D8" s="19"/>
      <c r="E8" s="19"/>
      <c r="F8" s="24"/>
    </row>
    <row r="9" spans="1:2" ht="12.75">
      <c r="A9" s="23" t="s">
        <v>14</v>
      </c>
      <c r="B9" s="23">
        <v>0.3</v>
      </c>
    </row>
    <row r="10" spans="1:2" ht="12.75">
      <c r="A10" s="23" t="s">
        <v>15</v>
      </c>
      <c r="B10" s="23">
        <v>0.9</v>
      </c>
    </row>
    <row r="11" spans="1:2" ht="12.75">
      <c r="A11" s="23" t="s">
        <v>16</v>
      </c>
      <c r="B11" s="23">
        <v>0.9</v>
      </c>
    </row>
    <row r="12" spans="1:2" ht="12.75">
      <c r="A12" s="23" t="s">
        <v>17</v>
      </c>
      <c r="B12" s="23">
        <v>0.9</v>
      </c>
    </row>
    <row r="13" spans="1:2" ht="12.75">
      <c r="A13" s="23" t="s">
        <v>18</v>
      </c>
      <c r="B13" s="23">
        <v>0.9</v>
      </c>
    </row>
    <row r="14" spans="1:2" ht="12.75">
      <c r="A14" s="23" t="s">
        <v>19</v>
      </c>
      <c r="B14" s="23">
        <v>0.27</v>
      </c>
    </row>
    <row r="15" spans="1:3" ht="12.75">
      <c r="A15" s="23" t="s">
        <v>20</v>
      </c>
      <c r="B15" s="23">
        <v>0</v>
      </c>
      <c r="C15" s="1">
        <v>569</v>
      </c>
    </row>
    <row r="16" spans="1:3" ht="12.75">
      <c r="A16" s="23"/>
      <c r="B16" s="23"/>
      <c r="C16" s="1" t="s">
        <v>21</v>
      </c>
    </row>
    <row r="18" spans="1:6" ht="36.75" customHeight="1">
      <c r="A18" s="15" t="s">
        <v>22</v>
      </c>
      <c r="B18" s="15" t="s">
        <v>23</v>
      </c>
      <c r="C18" s="15" t="s">
        <v>24</v>
      </c>
      <c r="D18" s="20" t="s">
        <v>25</v>
      </c>
      <c r="E18" s="20" t="s">
        <v>26</v>
      </c>
      <c r="F18" s="20" t="s">
        <v>27</v>
      </c>
    </row>
    <row r="19" ht="12.75">
      <c r="A19" s="1" t="s">
        <v>28</v>
      </c>
    </row>
    <row r="20" spans="1:6" ht="12.75">
      <c r="A20" s="1">
        <v>0</v>
      </c>
      <c r="B20" s="1">
        <v>0</v>
      </c>
      <c r="C20" s="1">
        <v>0</v>
      </c>
      <c r="D20" s="26">
        <v>0</v>
      </c>
      <c r="E20" s="26">
        <v>0</v>
      </c>
      <c r="F20" s="1">
        <v>0</v>
      </c>
    </row>
    <row r="21" spans="1:6" ht="12.75">
      <c r="A21" s="1">
        <v>20</v>
      </c>
      <c r="B21" s="1">
        <v>0</v>
      </c>
      <c r="C21" s="1">
        <f>(A21-A20)*(B20/3.6+(B21/3.6-B20/3.6)/2)</f>
        <v>0</v>
      </c>
      <c r="D21" s="26">
        <f>MAX(0.5*$B$4*(B21/3.6*B21/3.6-B20/3.6*B20/3.6)/3600000,0)</f>
        <v>0</v>
      </c>
      <c r="E21" s="26">
        <f>MIN(0.5*$B$4*(B21/3.6*B21/3.6-B20/3.6*B20/3.6)/3600000,0)</f>
        <v>0</v>
      </c>
      <c r="F21" s="1">
        <f>(0.625*((B20/3.6+B21/3.6)/2)*((B20/3.6+B21/3.6)/2)*$B$5*$B$6*C21+$B$7*$B$4*9.81*C21)/3600000</f>
        <v>0</v>
      </c>
    </row>
    <row r="22" spans="1:6" ht="12.75">
      <c r="A22" s="1">
        <v>60</v>
      </c>
      <c r="B22" s="1">
        <v>70</v>
      </c>
      <c r="C22" s="1">
        <f>(A22-A21)*(B21/3.6+(B22/3.6-B21/3.6)/2)</f>
        <v>388.88888888888886</v>
      </c>
      <c r="D22" s="26">
        <f>MAX(0.5*$B$4*(B22/3.6*B22/3.6-B21/3.6*B21/3.6)/3600000,0)</f>
        <v>0.05618784293552812</v>
      </c>
      <c r="E22" s="26">
        <f>MIN(0.5*$B$4*(B22/3.6*B22/3.6-B21/3.6*B21/3.6)/3600000,0)</f>
        <v>0</v>
      </c>
      <c r="F22" s="1">
        <f>(0.625*((B21/3.6+B22/3.6)/2)*((B21/3.6+B22/3.6)/2)*$B$5*$B$6*C22+$B$7*$B$4*9.81*C22)/3600000</f>
        <v>0.016655236211133972</v>
      </c>
    </row>
    <row r="23" spans="1:6" ht="12.75">
      <c r="A23" s="1">
        <v>110</v>
      </c>
      <c r="B23" s="1">
        <v>70</v>
      </c>
      <c r="C23" s="1">
        <f>(A23-A22)*(B22/3.6+(B23/3.6-B22/3.6)/2)</f>
        <v>972.2222222222222</v>
      </c>
      <c r="D23" s="26">
        <f>MAX(0.5*$B$4*(B23/3.6*B23/3.6-B22/3.6*B22/3.6)/3600000,0)</f>
        <v>0</v>
      </c>
      <c r="E23" s="26">
        <f>MIN(0.5*$B$4*(B23/3.6*B23/3.6-B22/3.6*B22/3.6)/3600000,0)</f>
        <v>0</v>
      </c>
      <c r="F23" s="1">
        <f>(0.625*((B22/3.6+B23/3.6)/2)*((B22/3.6+B23/3.6)/2)*$B$5*$B$6*C23+$B$7*$B$4*9.81*C23)/3600000</f>
        <v>0.0559968412780064</v>
      </c>
    </row>
    <row r="24" spans="1:6" ht="12.75">
      <c r="A24" s="1">
        <v>120</v>
      </c>
      <c r="B24" s="1">
        <v>50</v>
      </c>
      <c r="C24" s="1">
        <f>(A24-A23)*(B23/3.6+(B24/3.6-B23/3.6)/2)</f>
        <v>166.66666666666663</v>
      </c>
      <c r="D24" s="26">
        <f>MAX(0.5*$B$4*(B24/3.6*B24/3.6-B23/3.6*B23/3.6)/3600000,0)</f>
        <v>0</v>
      </c>
      <c r="E24" s="26">
        <f>MIN(0.5*$B$4*(B24/3.6*B24/3.6-B23/3.6*B23/3.6)/3600000,0)</f>
        <v>-0.027520576131687242</v>
      </c>
      <c r="F24" s="1">
        <f>(0.625*((B23/3.6+B24/3.6)/2)*((B23/3.6+B24/3.6)/2)*$B$5*$B$6*C24+$B$7*$B$4*9.81*C24)/3600000</f>
        <v>0.008728723765432097</v>
      </c>
    </row>
    <row r="25" spans="1:6" ht="12.75">
      <c r="A25" s="1">
        <v>190</v>
      </c>
      <c r="B25" s="1">
        <v>50</v>
      </c>
      <c r="C25" s="1">
        <f>(A25-A24)*(B24/3.6+(B25/3.6-B24/3.6)/2)</f>
        <v>972.2222222222223</v>
      </c>
      <c r="D25" s="26">
        <f>MAX(0.5*$B$4*(B25/3.6*B25/3.6-B24/3.6*B24/3.6)/3600000,0)</f>
        <v>0</v>
      </c>
      <c r="E25" s="26">
        <f>MIN(0.5*$B$4*(B25/3.6*B25/3.6-B24/3.6*B24/3.6)/3600000,0)</f>
        <v>0</v>
      </c>
      <c r="F25" s="1">
        <f>(0.625*((B24/3.6+B25/3.6)/2)*((B24/3.6+B25/3.6)/2)*$B$5*$B$6*C25+$B$7*$B$4*9.81*C25)/3600000</f>
        <v>0.04661969793095565</v>
      </c>
    </row>
    <row r="26" spans="1:6" ht="12.75">
      <c r="A26" s="1">
        <v>200</v>
      </c>
      <c r="B26" s="1">
        <v>70</v>
      </c>
      <c r="C26" s="1">
        <f>(A26-A25)*(B25/3.6+(B26/3.6-B25/3.6)/2)</f>
        <v>166.66666666666663</v>
      </c>
      <c r="D26" s="26">
        <f>MAX(0.5*$B$4*(B26/3.6*B26/3.6-B25/3.6*B25/3.6)/3600000,0)</f>
        <v>0.027520576131687242</v>
      </c>
      <c r="E26" s="26">
        <f>MIN(0.5*$B$4*(B26/3.6*B26/3.6-B25/3.6*B25/3.6)/3600000,0)</f>
        <v>0</v>
      </c>
      <c r="F26" s="1">
        <f>(0.625*((B25/3.6+B26/3.6)/2)*((B25/3.6+B26/3.6)/2)*$B$5*$B$6*C26+$B$7*$B$4*9.81*C26)/3600000</f>
        <v>0.008728723765432097</v>
      </c>
    </row>
    <row r="27" spans="1:6" ht="12.75">
      <c r="A27" s="1">
        <v>250</v>
      </c>
      <c r="B27" s="1">
        <v>70</v>
      </c>
      <c r="C27" s="1">
        <f>(A27-A26)*(B26/3.6+(B27/3.6-B26/3.6)/2)</f>
        <v>972.2222222222222</v>
      </c>
      <c r="D27" s="26">
        <f>MAX(0.5*$B$4*(B27/3.6*B27/3.6-B26/3.6*B26/3.6)/3600000,0)</f>
        <v>0</v>
      </c>
      <c r="E27" s="26">
        <f>MIN(0.5*$B$4*(B27/3.6*B27/3.6-B26/3.6*B26/3.6)/3600000,0)</f>
        <v>0</v>
      </c>
      <c r="F27" s="1">
        <f>(0.625*((B26/3.6+B27/3.6)/2)*((B26/3.6+B27/3.6)/2)*$B$5*$B$6*C27+$B$7*$B$4*9.81*C27)/3600000</f>
        <v>0.0559968412780064</v>
      </c>
    </row>
    <row r="28" spans="1:6" ht="12.75">
      <c r="A28" s="1">
        <v>285</v>
      </c>
      <c r="B28" s="1">
        <v>100</v>
      </c>
      <c r="C28" s="1">
        <f>(A28-A27)*(B27/3.6+(B28/3.6-B27/3.6)/2)</f>
        <v>826.3888888888889</v>
      </c>
      <c r="D28" s="26">
        <f>MAX(0.5*$B$4*(B28/3.6*B28/3.6-B27/3.6*B27/3.6)/3600000,0)</f>
        <v>0.058481224279835396</v>
      </c>
      <c r="E28" s="26">
        <f>MIN(0.5*$B$4*(B28/3.6*B28/3.6-B27/3.6*B27/3.6)/3600000,0)</f>
        <v>0</v>
      </c>
      <c r="F28" s="1">
        <f>(0.625*((B27/3.6+B28/3.6)/2)*((B27/3.6+B28/3.6)/2)*$B$5*$B$6*C28+$B$7*$B$4*9.81*C28)/3600000</f>
        <v>0.05531880656114255</v>
      </c>
    </row>
    <row r="29" spans="1:6" ht="12.75">
      <c r="A29" s="1">
        <v>315</v>
      </c>
      <c r="B29" s="1">
        <v>100</v>
      </c>
      <c r="C29" s="1">
        <f>(A29-A28)*(B28/3.6+(B29/3.6-B28/3.6)/2)</f>
        <v>833.3333333333334</v>
      </c>
      <c r="D29" s="26">
        <f>MAX(0.5*$B$4*(B29/3.6*B29/3.6-B28/3.6*B28/3.6)/3600000,0)</f>
        <v>0</v>
      </c>
      <c r="E29" s="26">
        <f>MIN(0.5*$B$4*(B29/3.6*B29/3.6-B28/3.6*B28/3.6)/3600000,0)</f>
        <v>0</v>
      </c>
      <c r="F29" s="1">
        <f>(0.625*((B28/3.6+B29/3.6)/2)*((B28/3.6+B29/3.6)/2)*$B$5*$B$6*C29+$B$7*$B$4*9.81*C29)/3600000</f>
        <v>0.06507708933470507</v>
      </c>
    </row>
    <row r="30" spans="1:6" ht="12.75">
      <c r="A30" s="1">
        <v>335</v>
      </c>
      <c r="B30" s="1">
        <v>120</v>
      </c>
      <c r="C30" s="1">
        <f>(A30-A29)*(B29/3.6+(B30/3.6-B29/3.6)/2)</f>
        <v>611.1111111111111</v>
      </c>
      <c r="D30" s="26">
        <f>MAX(0.5*$B$4*(B30/3.6*B30/3.6-B29/3.6*B29/3.6)/3600000,0)</f>
        <v>0.05045438957475997</v>
      </c>
      <c r="E30" s="26">
        <f>MIN(0.5*$B$4*(B30/3.6*B30/3.6-B29/3.6*B29/3.6)/3600000,0)</f>
        <v>0</v>
      </c>
      <c r="F30" s="1">
        <f>(0.625*((B29/3.6+B30/3.6)/2)*((B29/3.6+B30/3.6)/2)*$B$5*$B$6*C30+$B$7*$B$4*9.81*C30)/3600000</f>
        <v>0.052880627686328306</v>
      </c>
    </row>
    <row r="31" spans="1:6" ht="12.75">
      <c r="A31" s="1">
        <v>345</v>
      </c>
      <c r="B31" s="1">
        <v>120</v>
      </c>
      <c r="C31" s="1">
        <f>(A31-A30)*(B30/3.6+(B31/3.6-B30/3.6)/2)</f>
        <v>333.33333333333337</v>
      </c>
      <c r="D31" s="26">
        <f>MAX(0.5*$B$4*(B31/3.6*B31/3.6-B30/3.6*B30/3.6)/3600000,0)</f>
        <v>0</v>
      </c>
      <c r="E31" s="26">
        <f>MIN(0.5*$B$4*(B31/3.6*B31/3.6-B30/3.6*B30/3.6)/3600000,0)</f>
        <v>0</v>
      </c>
      <c r="F31" s="1">
        <f>(0.625*((B30/3.6+B31/3.6)/2)*((B30/3.6+B31/3.6)/2)*$B$5*$B$6*C31+$B$7*$B$4*9.81*C31)/3600000</f>
        <v>0.0319250401234568</v>
      </c>
    </row>
    <row r="32" spans="1:6" ht="12.75">
      <c r="A32" s="1">
        <v>380</v>
      </c>
      <c r="B32" s="1">
        <v>0</v>
      </c>
      <c r="C32" s="1">
        <f>(A32-A31)*(B31/3.6+(B32/3.6-B31/3.6)/2)</f>
        <v>583.3333333333334</v>
      </c>
      <c r="D32" s="26">
        <f>MAX(0.5*$B$4*(B32/3.6*B32/3.6-B31/3.6*B31/3.6)/3600000,0)</f>
        <v>0</v>
      </c>
      <c r="E32" s="26">
        <f>MIN(0.5*$B$4*(B32/3.6*B32/3.6-B31/3.6*B31/3.6)/3600000,0)</f>
        <v>-0.16512345679012347</v>
      </c>
      <c r="F32" s="1">
        <f>(0.625*((B31/3.6+B32/3.6)/2)*((B31/3.6+B32/3.6)/2)*$B$5*$B$6*C32+$B$7*$B$4*9.81*C32)/3600000</f>
        <v>0.030550533179012348</v>
      </c>
    </row>
    <row r="33" spans="1:6" ht="12.75">
      <c r="A33" s="1">
        <v>400</v>
      </c>
      <c r="B33" s="1">
        <v>0</v>
      </c>
      <c r="C33" s="1">
        <f>(A33-A32)*(B32/3.6+(B33/3.6-B32/3.6)/2)</f>
        <v>0</v>
      </c>
      <c r="D33" s="26">
        <f>MAX(0.5*$B$4*(B33/3.6*B33/3.6-B32/3.6*B32/3.6)/3600000,0)</f>
        <v>0</v>
      </c>
      <c r="E33" s="26">
        <f>MIN(0.5*$B$4*(B33/3.6*B33/3.6-B32/3.6*B32/3.6)/3600000,0)</f>
        <v>0</v>
      </c>
      <c r="F33" s="1">
        <f>(0.625*((B32/3.6+B33/3.6)/2)*((B32/3.6+B33/3.6)/2)*$B$5*$B$6*C33+$B$7*$B$4*9.81*C33)/3600000</f>
        <v>0</v>
      </c>
    </row>
    <row r="34" spans="1:6" ht="12.75">
      <c r="A34" s="1" t="s">
        <v>29</v>
      </c>
      <c r="C34" s="1">
        <f>SUM(C20:C33)</f>
        <v>6826.388888888889</v>
      </c>
      <c r="D34" s="26">
        <f>SUM(D20:D33)</f>
        <v>0.19264403292181073</v>
      </c>
      <c r="E34" s="26">
        <f>SUM(E20:E33)</f>
        <v>-0.1926440329218107</v>
      </c>
      <c r="F34" s="1">
        <f>SUM(F20:F33)</f>
        <v>0.4284781611136117</v>
      </c>
    </row>
    <row r="36" ht="12.75">
      <c r="A36" s="1" t="s">
        <v>30</v>
      </c>
    </row>
    <row r="37" spans="1:6" ht="12.75">
      <c r="A37" s="1">
        <v>0</v>
      </c>
      <c r="B37" s="1">
        <v>0</v>
      </c>
      <c r="C37" s="1">
        <v>0</v>
      </c>
      <c r="D37" s="26">
        <v>0</v>
      </c>
      <c r="E37" s="26">
        <v>0</v>
      </c>
      <c r="F37" s="1">
        <v>0</v>
      </c>
    </row>
    <row r="38" spans="1:6" ht="12.75">
      <c r="A38" s="1">
        <v>10</v>
      </c>
      <c r="B38" s="1">
        <v>0</v>
      </c>
      <c r="C38" s="1">
        <f>(A38-A37)*(B37/3.6+(B38/3.6-B37/3.6)/2)</f>
        <v>0</v>
      </c>
      <c r="D38" s="26">
        <f>MAX(0.5*$B$4*(B38/3.6*B38/3.6-B37/3.6*B37/3.6)/3600000,0)</f>
        <v>0</v>
      </c>
      <c r="E38" s="26">
        <f>MIN(0.5*$B$4*(B38/3.6*B38/3.6-B37/3.6*B37/3.6)/3600000,0)</f>
        <v>0</v>
      </c>
      <c r="F38" s="1">
        <f>(0.625*((B37/3.6+B38/3.6)/2)*((B37/3.6+B38/3.6)/2)*$B$5*$B$6*C38+$B$7*$B$4*9.81*C38)/3600000</f>
        <v>0</v>
      </c>
    </row>
    <row r="39" spans="1:6" ht="12.75">
      <c r="A39" s="1">
        <v>15</v>
      </c>
      <c r="B39" s="1">
        <v>16</v>
      </c>
      <c r="C39" s="1">
        <f>(A39-A38)*(B38/3.6+(B39/3.6-B38/3.6)/2)</f>
        <v>11.11111111111111</v>
      </c>
      <c r="D39" s="26">
        <f>MAX(0.5*$B$4*(B39/3.6*B39/3.6-B38/3.6*B38/3.6)/3600000,0)</f>
        <v>0.0029355281207133054</v>
      </c>
      <c r="E39" s="26">
        <f>MIN(0.5*$B$4*(B39/3.6*B39/3.6-B38/3.6*B38/3.6)/3600000,0)</f>
        <v>0</v>
      </c>
      <c r="F39" s="1">
        <f>(0.625*((B38/3.6+B39/3.6)/2)*((B38/3.6+B39/3.6)/2)*$B$5*$B$6*C39+$B$7*$B$4*9.81*C39)/3600000</f>
        <v>0.0004240216849565614</v>
      </c>
    </row>
    <row r="40" spans="1:6" ht="12.75">
      <c r="A40" s="1">
        <v>24</v>
      </c>
      <c r="B40" s="1">
        <v>16</v>
      </c>
      <c r="C40" s="1">
        <f>(A40-A39)*(B39/3.6+(B40/3.6-B39/3.6)/2)</f>
        <v>40</v>
      </c>
      <c r="D40" s="26">
        <f>MAX(0.5*$B$4*(B40/3.6*B40/3.6-B39/3.6*B39/3.6)/3600000,0)</f>
        <v>0</v>
      </c>
      <c r="E40" s="26">
        <f>MIN(0.5*$B$4*(B40/3.6*B40/3.6-B39/3.6*B39/3.6)/3600000,0)</f>
        <v>0</v>
      </c>
      <c r="F40" s="1">
        <f>(0.625*((B39/3.6+B40/3.6)/2)*((B39/3.6+B40/3.6)/2)*$B$5*$B$6*C40+$B$7*$B$4*9.81*C40)/3600000</f>
        <v>0.0015573422633744854</v>
      </c>
    </row>
    <row r="41" spans="1:6" ht="12.75">
      <c r="A41" s="1">
        <v>28</v>
      </c>
      <c r="B41" s="1">
        <v>0</v>
      </c>
      <c r="C41" s="1">
        <f>(A41-A40)*(B40/3.6+(B41/3.6-B40/3.6)/2)</f>
        <v>8.88888888888889</v>
      </c>
      <c r="D41" s="26">
        <f>MAX(0.5*$B$4*(B41/3.6*B41/3.6-B40/3.6*B40/3.6)/3600000,0)</f>
        <v>0</v>
      </c>
      <c r="E41" s="26">
        <f>MIN(0.5*$B$4*(B41/3.6*B41/3.6-B40/3.6*B40/3.6)/3600000,0)</f>
        <v>-0.0029355281207133054</v>
      </c>
      <c r="F41" s="1">
        <f>(0.625*((B40/3.6+B41/3.6)/2)*((B40/3.6+B41/3.6)/2)*$B$5*$B$6*C41+$B$7*$B$4*9.81*C41)/3600000</f>
        <v>0.0003392173479652492</v>
      </c>
    </row>
    <row r="42" spans="1:6" ht="12.75">
      <c r="A42" s="1">
        <v>50</v>
      </c>
      <c r="B42" s="1">
        <v>0</v>
      </c>
      <c r="C42" s="1">
        <f>(A42-A41)*(B41/3.6+(B42/3.6-B41/3.6)/2)</f>
        <v>0</v>
      </c>
      <c r="D42" s="26">
        <f>MAX(0.5*$B$4*(B42/3.6*B42/3.6-B41/3.6*B41/3.6)/3600000,0)</f>
        <v>0</v>
      </c>
      <c r="E42" s="26">
        <f>MIN(0.5*$B$4*(B42/3.6*B42/3.6-B41/3.6*B41/3.6)/3600000,0)</f>
        <v>0</v>
      </c>
      <c r="F42" s="1">
        <f>(0.625*((B41/3.6+B42/3.6)/2)*((B41/3.6+B42/3.6)/2)*$B$5*$B$6*C42+$B$7*$B$4*9.81*C42)/3600000</f>
        <v>0</v>
      </c>
    </row>
    <row r="43" spans="1:6" ht="12.75">
      <c r="A43" s="1">
        <v>60</v>
      </c>
      <c r="B43" s="1">
        <v>32</v>
      </c>
      <c r="C43" s="1">
        <f>(A43-A42)*(B42/3.6+(B43/3.6-B42/3.6)/2)</f>
        <v>44.44444444444444</v>
      </c>
      <c r="D43" s="26">
        <f>MAX(0.5*$B$4*(B43/3.6*B43/3.6-B42/3.6*B42/3.6)/3600000,0)</f>
        <v>0.011742112482853222</v>
      </c>
      <c r="E43" s="26">
        <f>MIN(0.5*$B$4*(B43/3.6*B43/3.6-B42/3.6*B42/3.6)/3600000,0)</f>
        <v>0</v>
      </c>
      <c r="F43" s="1">
        <f>(0.625*((B42/3.6+B43/3.6)/2)*((B42/3.6+B43/3.6)/2)*$B$5*$B$6*C43+$B$7*$B$4*9.81*C43)/3600000</f>
        <v>0.0017303802926383171</v>
      </c>
    </row>
    <row r="44" spans="1:6" ht="12.75">
      <c r="A44" s="1">
        <v>85</v>
      </c>
      <c r="B44" s="1">
        <v>32</v>
      </c>
      <c r="C44" s="1">
        <f>(A44-A43)*(B43/3.6+(B44/3.6-B43/3.6)/2)</f>
        <v>222.22222222222223</v>
      </c>
      <c r="D44" s="26">
        <f>MAX(0.5*$B$4*(B44/3.6*B44/3.6-B43/3.6*B43/3.6)/3600000,0)</f>
        <v>0</v>
      </c>
      <c r="E44" s="26">
        <f>MIN(0.5*$B$4*(B44/3.6*B44/3.6-B43/3.6*B43/3.6)/3600000,0)</f>
        <v>0</v>
      </c>
      <c r="F44" s="1">
        <f>(0.625*((B43/3.6+B44/3.6)/2)*((B43/3.6+B44/3.6)/2)*$B$5*$B$6*C44+$B$7*$B$4*9.81*C44)/3600000</f>
        <v>0.009337772519433013</v>
      </c>
    </row>
    <row r="45" spans="1:6" ht="12.75">
      <c r="A45" s="1">
        <v>95</v>
      </c>
      <c r="B45" s="1">
        <v>0</v>
      </c>
      <c r="C45" s="1">
        <f>(A45-A44)*(B44/3.6+(B45/3.6-B44/3.6)/2)</f>
        <v>44.44444444444444</v>
      </c>
      <c r="D45" s="26">
        <f>MAX(0.5*$B$4*(B45/3.6*B45/3.6-B44/3.6*B44/3.6)/3600000,0)</f>
        <v>0</v>
      </c>
      <c r="E45" s="26">
        <f>MIN(0.5*$B$4*(B45/3.6*B45/3.6-B44/3.6*B44/3.6)/3600000,0)</f>
        <v>-0.011742112482853222</v>
      </c>
      <c r="F45" s="1">
        <f>(0.625*((B44/3.6+B45/3.6)/2)*((B44/3.6+B45/3.6)/2)*$B$5*$B$6*C45+$B$7*$B$4*9.81*C45)/3600000</f>
        <v>0.0017303802926383171</v>
      </c>
    </row>
    <row r="46" spans="1:6" ht="12.75">
      <c r="A46" s="1">
        <v>120</v>
      </c>
      <c r="B46" s="1">
        <v>0</v>
      </c>
      <c r="C46" s="1">
        <f>(A46-A45)*(B45/3.6+(B46/3.6-B45/3.6)/2)</f>
        <v>0</v>
      </c>
      <c r="D46" s="26">
        <f>MAX(0.5*$B$4*(B46/3.6*B46/3.6-B45/3.6*B45/3.6)/3600000,0)</f>
        <v>0</v>
      </c>
      <c r="E46" s="26">
        <f>MIN(0.5*$B$4*(B46/3.6*B46/3.6-B45/3.6*B45/3.6)/3600000,0)</f>
        <v>0</v>
      </c>
      <c r="F46" s="1">
        <f>(0.625*((B45/3.6+B46/3.6)/2)*((B45/3.6+B46/3.6)/2)*$B$5*$B$6*C46+$B$7*$B$4*9.81*C46)/3600000</f>
        <v>0</v>
      </c>
    </row>
    <row r="47" spans="1:6" ht="12.75">
      <c r="A47" s="1">
        <v>145</v>
      </c>
      <c r="B47" s="1">
        <v>50</v>
      </c>
      <c r="C47" s="1">
        <f>(A47-A46)*(B46/3.6+(B47/3.6-B46/3.6)/2)</f>
        <v>173.61111111111111</v>
      </c>
      <c r="D47" s="26">
        <f>MAX(0.5*$B$4*(B47/3.6*B47/3.6-B46/3.6*B46/3.6)/3600000,0)</f>
        <v>0.02866726680384088</v>
      </c>
      <c r="E47" s="26">
        <f>MIN(0.5*$B$4*(B47/3.6*B47/3.6-B46/3.6*B46/3.6)/3600000,0)</f>
        <v>0</v>
      </c>
      <c r="F47" s="1">
        <f>(0.625*((B46/3.6+B47/3.6)/2)*((B46/3.6+B47/3.6)/2)*$B$5*$B$6*C47+$B$7*$B$4*9.81*C47)/3600000</f>
        <v>0.007016750837691472</v>
      </c>
    </row>
    <row r="48" spans="1:6" ht="12.75">
      <c r="A48" s="1">
        <v>155</v>
      </c>
      <c r="B48" s="1">
        <v>50</v>
      </c>
      <c r="C48" s="1">
        <f>(A48-A47)*(B47/3.6+(B48/3.6-B47/3.6)/2)</f>
        <v>138.88888888888889</v>
      </c>
      <c r="D48" s="26">
        <f>MAX(0.5*$B$4*(B48/3.6*B48/3.6-B47/3.6*B47/3.6)/3600000,0)</f>
        <v>0</v>
      </c>
      <c r="E48" s="26">
        <f>MIN(0.5*$B$4*(B48/3.6*B48/3.6-B47/3.6*B47/3.6)/3600000,0)</f>
        <v>0</v>
      </c>
      <c r="F48" s="1">
        <f>(0.625*((B47/3.6+B48/3.6)/2)*((B47/3.6+B48/3.6)/2)*$B$5*$B$6*C48+$B$7*$B$4*9.81*C48)/3600000</f>
        <v>0.0066599568472793785</v>
      </c>
    </row>
    <row r="49" spans="1:6" ht="12.75">
      <c r="A49" s="1">
        <v>165</v>
      </c>
      <c r="B49" s="1">
        <v>35</v>
      </c>
      <c r="C49" s="1">
        <f>(A49-A48)*(B48/3.6+(B49/3.6-B48/3.6)/2)</f>
        <v>118.05555555555556</v>
      </c>
      <c r="D49" s="26">
        <f>MAX(0.5*$B$4*(B49/3.6*B49/3.6-B48/3.6*B48/3.6)/3600000,0)</f>
        <v>0</v>
      </c>
      <c r="E49" s="26">
        <f>MIN(0.5*$B$4*(B49/3.6*B49/3.6-B48/3.6*B48/3.6)/3600000,0)</f>
        <v>-0.014620306069958849</v>
      </c>
      <c r="F49" s="1">
        <f>(0.625*((B48/3.6+B49/3.6)/2)*((B48/3.6+B49/3.6)/2)*$B$5*$B$6*C49+$B$7*$B$4*9.81*C49)/3600000</f>
        <v>0.005331821402481281</v>
      </c>
    </row>
    <row r="50" spans="1:6" ht="12.75">
      <c r="A50" s="1">
        <v>175</v>
      </c>
      <c r="B50" s="1">
        <v>35</v>
      </c>
      <c r="C50" s="1">
        <f>(A50-A49)*(B49/3.6+(B50/3.6-B49/3.6)/2)</f>
        <v>97.22222222222221</v>
      </c>
      <c r="D50" s="26">
        <f>MAX(0.5*$B$4*(B50/3.6*B50/3.6-B49/3.6*B49/3.6)/3600000,0)</f>
        <v>0</v>
      </c>
      <c r="E50" s="26">
        <f>MIN(0.5*$B$4*(B50/3.6*B50/3.6-B49/3.6*B49/3.6)/3600000,0)</f>
        <v>0</v>
      </c>
      <c r="F50" s="1">
        <f>(0.625*((B49/3.6+B50/3.6)/2)*((B49/3.6+B50/3.6)/2)*$B$5*$B$6*C50+$B$7*$B$4*9.81*C50)/3600000</f>
        <v>0.004163809052783493</v>
      </c>
    </row>
    <row r="51" spans="1:6" ht="12.75">
      <c r="A51" s="1">
        <v>190</v>
      </c>
      <c r="B51" s="1">
        <v>0</v>
      </c>
      <c r="C51" s="1">
        <f>(A51-A50)*(B50/3.6+(B51/3.6-B50/3.6)/2)</f>
        <v>72.91666666666666</v>
      </c>
      <c r="D51" s="26">
        <f>MAX(0.5*$B$4*(B51/3.6*B51/3.6-B50/3.6*B50/3.6)/3600000,0)</f>
        <v>0</v>
      </c>
      <c r="E51" s="26">
        <f>MIN(0.5*$B$4*(B51/3.6*B51/3.6-B50/3.6*B50/3.6)/3600000,0)</f>
        <v>-0.01404696073388203</v>
      </c>
      <c r="F51" s="1">
        <f>(0.625*((B50/3.6+B51/3.6)/2)*((B50/3.6+B51/3.6)/2)*$B$5*$B$6*C51+$B$7*$B$4*9.81*C51)/3600000</f>
        <v>0.0028536302130219046</v>
      </c>
    </row>
    <row r="52" spans="1:6" ht="12.75">
      <c r="A52" s="1">
        <v>195</v>
      </c>
      <c r="B52" s="1">
        <v>0</v>
      </c>
      <c r="C52" s="1">
        <f>(A52-A51)*(B51/3.6+(B52/3.6-B51/3.6)/2)</f>
        <v>0</v>
      </c>
      <c r="D52" s="26">
        <f>MAX(0.5*$B$4*(B52/3.6*B52/3.6-B51/3.6*B51/3.6)/3600000,0)</f>
        <v>0</v>
      </c>
      <c r="E52" s="26">
        <f>MIN(0.5*$B$4*(B52/3.6*B52/3.6-B51/3.6*B51/3.6)/3600000,0)</f>
        <v>0</v>
      </c>
      <c r="F52" s="1">
        <f>(0.625*((B51/3.6+B52/3.6)/2)*((B51/3.6+B52/3.6)/2)*$B$5*$B$6*C52+$B$7*$B$4*9.81*C52)/3600000</f>
        <v>0</v>
      </c>
    </row>
    <row r="53" spans="1:6" ht="12.75">
      <c r="A53" s="1" t="s">
        <v>31</v>
      </c>
      <c r="C53" s="1">
        <f>SUM(C37:C52)*4</f>
        <v>3887.222222222222</v>
      </c>
      <c r="D53" s="26">
        <f>SUM(D37:D52)*4</f>
        <v>0.17337962962962963</v>
      </c>
      <c r="E53" s="26">
        <f>SUM(E37:E52)*4</f>
        <v>-0.17337962962962963</v>
      </c>
      <c r="F53" s="1">
        <f>SUM(F37:F52)*4</f>
        <v>0.16458033101705388</v>
      </c>
    </row>
    <row r="54" spans="1:6" ht="12.75">
      <c r="A54" s="7" t="s">
        <v>32</v>
      </c>
      <c r="B54" s="7"/>
      <c r="C54" s="7"/>
      <c r="D54" s="21">
        <f>(D34+D53)*100000/(C34+C53)</f>
        <v>3.4164359594108875</v>
      </c>
      <c r="E54" s="21">
        <f>(E34+E53)*100000/(C53+C34)</f>
        <v>-3.4164359594108875</v>
      </c>
      <c r="F54" s="7">
        <f>(F53+F34)*100000/(C34+C53)</f>
        <v>5.535561128549862</v>
      </c>
    </row>
    <row r="55" spans="1:6" ht="12.75">
      <c r="A55" s="7" t="s">
        <v>33</v>
      </c>
      <c r="B55" s="7"/>
      <c r="C55" s="7"/>
      <c r="D55" s="21">
        <f>$B$4*9.81*$B$8/3600000</f>
        <v>0</v>
      </c>
      <c r="E55" s="21">
        <f>-D55</f>
        <v>0</v>
      </c>
      <c r="F55" s="7"/>
    </row>
    <row r="57" spans="1:4" ht="12.75">
      <c r="A57" s="17"/>
      <c r="B57" s="12" t="s">
        <v>34</v>
      </c>
      <c r="C57" s="12" t="s">
        <v>35</v>
      </c>
      <c r="D57" s="27" t="s">
        <v>36</v>
      </c>
    </row>
    <row r="58" spans="1:4" ht="12.75">
      <c r="A58" s="11" t="s">
        <v>37</v>
      </c>
      <c r="B58" s="22">
        <f>D54+F54+D55</f>
        <v>8.951997087960748</v>
      </c>
      <c r="D58" s="6"/>
    </row>
    <row r="59" spans="1:4" ht="12.75">
      <c r="A59" s="14" t="s">
        <v>38</v>
      </c>
      <c r="B59" s="13">
        <f>(D54+F54)/$B$9+D55/$B$9</f>
        <v>29.839990293202497</v>
      </c>
      <c r="C59" s="8">
        <f>B59/10</f>
        <v>2.9839990293202496</v>
      </c>
      <c r="D59" s="6">
        <f>C59*23.3</f>
        <v>69.52717738316181</v>
      </c>
    </row>
    <row r="60" spans="1:5" ht="12.75">
      <c r="A60" s="14" t="s">
        <v>39</v>
      </c>
      <c r="B60" s="13">
        <f>((D54+D55)/($B$11*$B$12)+F54/($B$11*$B$12))/$B$10</f>
        <v>12.279831396379626</v>
      </c>
      <c r="C60" s="8"/>
      <c r="D60" s="6">
        <f>B60*$B$15/100</f>
        <v>0</v>
      </c>
      <c r="E60" s="9" t="s">
        <v>40</v>
      </c>
    </row>
    <row r="61" spans="1:5" ht="12.75">
      <c r="A61" s="14" t="s">
        <v>41</v>
      </c>
      <c r="B61" s="13">
        <f>((D54+D55)/($B$11*$B$12)+F54/($B$11*$B$12)+(E54+E55)*($B$10*$B$13))/$B$10</f>
        <v>9.205039032909829</v>
      </c>
      <c r="C61" s="8"/>
      <c r="D61" s="6">
        <f>B61*$B$15/100</f>
        <v>0</v>
      </c>
      <c r="E61" s="9"/>
    </row>
    <row r="62" spans="1:5" ht="12.75">
      <c r="A62" s="14" t="s">
        <v>42</v>
      </c>
      <c r="B62" s="13">
        <f>((D54+D55)/($B$11*$B$12)+F54/($B$11*$B$12)+(E54+E55)*($B$10*$B$13))/($B$10*$B$14)</f>
        <v>34.09273715892529</v>
      </c>
      <c r="C62" s="8">
        <f>B62/10</f>
        <v>3.409273715892529</v>
      </c>
      <c r="D62" s="6">
        <f>C62*23.3</f>
        <v>79.43607758029593</v>
      </c>
      <c r="E62" s="25" t="s">
        <v>43</v>
      </c>
    </row>
    <row r="63" spans="1:5" ht="12.75">
      <c r="A63" s="14" t="s">
        <v>44</v>
      </c>
      <c r="B63" s="13">
        <f>F54</f>
        <v>5.535561128549862</v>
      </c>
      <c r="D63" s="6">
        <f>B63*$B$15/100</f>
        <v>0</v>
      </c>
      <c r="E63" s="25"/>
    </row>
    <row r="65" ht="12.75">
      <c r="A65" s="1" t="s">
        <v>45</v>
      </c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</sheetData>
  <sheetProtection/>
  <mergeCells count="8">
    <mergeCell ref="A73:D73"/>
    <mergeCell ref="A72:D72"/>
    <mergeCell ref="A71:D71"/>
    <mergeCell ref="A70:D70"/>
    <mergeCell ref="A69:D69"/>
    <mergeCell ref="A68:D68"/>
    <mergeCell ref="A67:D67"/>
    <mergeCell ref="A1:F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&amp;L&amp;C&amp;A&amp;R</oddHeader>
    <oddFooter>&amp;L&amp;CSeite &amp;P&amp;R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 Rudolf</dc:creator>
  <cp:keywords/>
  <dc:description/>
  <cp:lastModifiedBy>Mannseicher Daniel</cp:lastModifiedBy>
  <dcterms:created xsi:type="dcterms:W3CDTF">2016-07-04T18:50:53Z</dcterms:created>
  <dcterms:modified xsi:type="dcterms:W3CDTF">2016-07-05T21:53:42Z</dcterms:modified>
  <cp:category/>
  <cp:version/>
  <cp:contentType/>
  <cp:contentStatus/>
</cp:coreProperties>
</file>